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GB HTML\MedGas Bible Online\Air Compressors\ZMED\"/>
    </mc:Choice>
  </mc:AlternateContent>
  <bookViews>
    <workbookView xWindow="0" yWindow="135" windowWidth="23640" windowHeight="9720"/>
  </bookViews>
  <sheets>
    <sheet name="Calculator" sheetId="3" r:id="rId1"/>
    <sheet name="Data" sheetId="2" r:id="rId2"/>
  </sheets>
  <definedNames>
    <definedName name="ALTCHART">Data!$A$9:$C$33</definedName>
    <definedName name="ALTITUDE">Data!$A$9:$A$33</definedName>
    <definedName name="BAROMETER">Data!$A$9:$C$33</definedName>
    <definedName name="LOADED">Data!$E$9:$E$10</definedName>
    <definedName name="LPEIP">Data!$E$9:$F$10</definedName>
    <definedName name="ModelTable">Data!$J$10:$J$42</definedName>
    <definedName name="StageFactorTable">Data!$J$10:$L$42</definedName>
  </definedNames>
  <calcPr calcId="152511"/>
</workbook>
</file>

<file path=xl/calcChain.xml><?xml version="1.0" encoding="utf-8"?>
<calcChain xmlns="http://schemas.openxmlformats.org/spreadsheetml/2006/main">
  <c r="L8" i="2" l="1"/>
  <c r="C5" i="2" s="1"/>
  <c r="K8" i="2"/>
  <c r="C4" i="2" s="1"/>
  <c r="J44" i="3" l="1"/>
  <c r="B36" i="3"/>
  <c r="B37" i="3" s="1"/>
  <c r="G38" i="3"/>
  <c r="G33" i="3"/>
  <c r="B31" i="3"/>
  <c r="B32" i="3" s="1"/>
  <c r="J21" i="3" l="1"/>
  <c r="F16" i="3"/>
  <c r="B16" i="3"/>
  <c r="B21" i="3" s="1"/>
  <c r="J16" i="3" l="1"/>
  <c r="F21" i="3" s="1"/>
  <c r="B23" i="3"/>
  <c r="J22" i="3" s="1"/>
  <c r="B38" i="3" s="1"/>
  <c r="B18" i="3"/>
  <c r="F5" i="2"/>
  <c r="F3" i="2"/>
  <c r="F17" i="3" l="1"/>
  <c r="G31" i="3" s="1"/>
  <c r="J17" i="3"/>
  <c r="B33" i="3" s="1"/>
  <c r="F22" i="3"/>
  <c r="E5" i="2" l="1"/>
  <c r="G36" i="3"/>
  <c r="G37" i="3" s="1"/>
  <c r="G32" i="3"/>
  <c r="E3" i="2"/>
  <c r="B20" i="3" l="1"/>
  <c r="L36" i="3"/>
  <c r="B35" i="3" s="1"/>
  <c r="L31" i="3"/>
  <c r="B30" i="3" s="1"/>
  <c r="B15" i="3"/>
</calcChain>
</file>

<file path=xl/sharedStrings.xml><?xml version="1.0" encoding="utf-8"?>
<sst xmlns="http://schemas.openxmlformats.org/spreadsheetml/2006/main" count="108" uniqueCount="86">
  <si>
    <t>Atmospheric Press conv factor</t>
  </si>
  <si>
    <t>Intake Gauge Pressure</t>
  </si>
  <si>
    <t>T2</t>
  </si>
  <si>
    <t>Theoretical Discharge Temp</t>
  </si>
  <si>
    <t>T1</t>
  </si>
  <si>
    <t>Po</t>
  </si>
  <si>
    <t>Element Outlet pressure in PSIA</t>
  </si>
  <si>
    <t>Pi</t>
  </si>
  <si>
    <t>Element Inlet Pressure in PSIA</t>
  </si>
  <si>
    <t>SF</t>
  </si>
  <si>
    <t>Tooth Element Stage Factors</t>
  </si>
  <si>
    <t>Stage</t>
  </si>
  <si>
    <t>Air Cooled</t>
  </si>
  <si>
    <t>High Press Element</t>
  </si>
  <si>
    <t>Low Press Element</t>
  </si>
  <si>
    <t>Element Inlet temp in Rankine</t>
  </si>
  <si>
    <t>R</t>
  </si>
  <si>
    <t>LP</t>
  </si>
  <si>
    <t>HP</t>
  </si>
  <si>
    <t>Theoretical Discharge Temp Calculation</t>
  </si>
  <si>
    <t>Z "Tooth" Compressor Element Calculator</t>
  </si>
  <si>
    <t>PSIG</t>
  </si>
  <si>
    <t>LP Element Compression Ratio</t>
  </si>
  <si>
    <t>HP Element Compression Ratio</t>
  </si>
  <si>
    <t>Altitude of facility location</t>
  </si>
  <si>
    <t>Low Pressure Element Intake Pressure</t>
  </si>
  <si>
    <t>Loaded</t>
  </si>
  <si>
    <t>Unloaded</t>
  </si>
  <si>
    <t>intercooler reading, from the Electronicon (26 -35 normal upto 56)</t>
  </si>
  <si>
    <t>unloaded you should see -6 to -9</t>
  </si>
  <si>
    <t>Low Pressure Element</t>
  </si>
  <si>
    <t>High Pressure Element</t>
  </si>
  <si>
    <t>discharge gauge pressure, from electronicon</t>
  </si>
  <si>
    <t>Inlet Air Temperature F</t>
  </si>
  <si>
    <r>
      <t>T2 = [(T1)(P0/Pi)</t>
    </r>
    <r>
      <rPr>
        <vertAlign val="superscript"/>
        <sz val="12"/>
        <color theme="1"/>
        <rFont val="Calibri"/>
        <family val="2"/>
        <scheme val="minor"/>
      </rPr>
      <t>SF</t>
    </r>
    <r>
      <rPr>
        <sz val="12"/>
        <color theme="1"/>
        <rFont val="Calibri"/>
        <family val="2"/>
        <scheme val="minor"/>
      </rPr>
      <t>]-460</t>
    </r>
  </si>
  <si>
    <t>° F - Element Inlet Temp (T1)</t>
  </si>
  <si>
    <t>° R - Element Inlet Temp</t>
  </si>
  <si>
    <t>InHg - Barometric Pressure</t>
  </si>
  <si>
    <t>PSIA - Atmospheric Pressure</t>
  </si>
  <si>
    <t>PSIG - Intake Gauge Pressure</t>
  </si>
  <si>
    <t>PSIA - Intake Pressure Absolute</t>
  </si>
  <si>
    <t>PSIG - Discharge Gauge Pressure</t>
  </si>
  <si>
    <t>PSIA - Discharge Pressure Absolute</t>
  </si>
  <si>
    <t>PSIA - Discharge Pressure Absolute (Po)</t>
  </si>
  <si>
    <t>Pressure Ratio</t>
  </si>
  <si>
    <t>Element Concersion Factor</t>
  </si>
  <si>
    <r>
      <t>(Po/Pi)</t>
    </r>
    <r>
      <rPr>
        <vertAlign val="superscript"/>
        <sz val="10"/>
        <color theme="1"/>
        <rFont val="Calibri"/>
        <family val="2"/>
        <scheme val="minor"/>
      </rPr>
      <t>SF</t>
    </r>
  </si>
  <si>
    <t>Intercooler Discharge Temperature F</t>
  </si>
  <si>
    <t>PSIA - Intake Pressure Absolute (Pi)</t>
  </si>
  <si>
    <t>Model</t>
  </si>
  <si>
    <t>LP fac</t>
  </si>
  <si>
    <t>HP fac</t>
  </si>
  <si>
    <t>ZT18</t>
  </si>
  <si>
    <t>ZT22</t>
  </si>
  <si>
    <t>ZT30</t>
  </si>
  <si>
    <t>ZT237</t>
  </si>
  <si>
    <t>ZT37</t>
  </si>
  <si>
    <t>ZT245</t>
  </si>
  <si>
    <t>ZT45</t>
  </si>
  <si>
    <t>ZT255</t>
  </si>
  <si>
    <t>ZT55</t>
  </si>
  <si>
    <t>ZT275</t>
  </si>
  <si>
    <t>ZT75</t>
  </si>
  <si>
    <t>ZT290</t>
  </si>
  <si>
    <t>ZT90</t>
  </si>
  <si>
    <t>ZR237</t>
  </si>
  <si>
    <t>ZR37</t>
  </si>
  <si>
    <t>ZR245</t>
  </si>
  <si>
    <t>ZR45</t>
  </si>
  <si>
    <t>ZR255</t>
  </si>
  <si>
    <t>ZR55</t>
  </si>
  <si>
    <t>ZR275</t>
  </si>
  <si>
    <t>ZR75</t>
  </si>
  <si>
    <t>ZR290</t>
  </si>
  <si>
    <t>ZR90</t>
  </si>
  <si>
    <t>ZA3</t>
  </si>
  <si>
    <t>N/A</t>
  </si>
  <si>
    <t>ZA4</t>
  </si>
  <si>
    <t>ZA5</t>
  </si>
  <si>
    <t>ZA6</t>
  </si>
  <si>
    <t>ZR3</t>
  </si>
  <si>
    <t>ZR4</t>
  </si>
  <si>
    <t>ZR5</t>
  </si>
  <si>
    <t>ZR6</t>
  </si>
  <si>
    <t>ZT3</t>
  </si>
  <si>
    <t>ZT4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</si>
</sst>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General_)"/>
    <numFmt numFmtId="166" formatCode="0.000"/>
  </numFmts>
  <fonts count="10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0"/>
      <name val="Helv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164" fontId="3" fillId="0" borderId="7" xfId="0" applyNumberFormat="1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0" fillId="0" borderId="11" xfId="0" applyBorder="1"/>
    <xf numFmtId="0" fontId="0" fillId="0" borderId="14" xfId="0" applyBorder="1"/>
    <xf numFmtId="0" fontId="0" fillId="0" borderId="16" xfId="0" applyBorder="1"/>
    <xf numFmtId="0" fontId="0" fillId="0" borderId="0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22" xfId="0" applyFill="1" applyBorder="1"/>
    <xf numFmtId="0" fontId="0" fillId="3" borderId="0" xfId="0" applyFill="1" applyBorder="1"/>
    <xf numFmtId="0" fontId="0" fillId="3" borderId="23" xfId="0" applyFill="1" applyBorder="1"/>
    <xf numFmtId="0" fontId="3" fillId="3" borderId="11" xfId="0" applyFont="1" applyFill="1" applyBorder="1" applyAlignment="1" applyProtection="1">
      <alignment vertical="center"/>
      <protection locked="0"/>
    </xf>
    <xf numFmtId="0" fontId="3" fillId="3" borderId="12" xfId="0" applyFont="1" applyFill="1" applyBorder="1" applyAlignment="1">
      <alignment horizontal="left"/>
    </xf>
    <xf numFmtId="0" fontId="3" fillId="3" borderId="12" xfId="0" applyFont="1" applyFill="1" applyBorder="1"/>
    <xf numFmtId="0" fontId="3" fillId="3" borderId="12" xfId="0" applyFont="1" applyFill="1" applyBorder="1" applyAlignment="1" applyProtection="1">
      <alignment vertical="center"/>
      <protection locked="0"/>
    </xf>
    <xf numFmtId="0" fontId="0" fillId="3" borderId="12" xfId="0" applyFill="1" applyBorder="1"/>
    <xf numFmtId="0" fontId="0" fillId="3" borderId="13" xfId="0" applyFill="1" applyBorder="1"/>
    <xf numFmtId="0" fontId="3" fillId="3" borderId="14" xfId="0" applyFont="1" applyFill="1" applyBorder="1" applyAlignment="1">
      <alignment vertical="center"/>
    </xf>
    <xf numFmtId="0" fontId="3" fillId="3" borderId="0" xfId="0" applyFont="1" applyFill="1" applyBorder="1"/>
    <xf numFmtId="164" fontId="3" fillId="3" borderId="0" xfId="0" applyNumberFormat="1" applyFont="1" applyFill="1" applyBorder="1" applyAlignment="1">
      <alignment vertical="center"/>
    </xf>
    <xf numFmtId="0" fontId="3" fillId="3" borderId="0" xfId="0" applyFont="1" applyFill="1" applyBorder="1" applyAlignment="1">
      <alignment horizontal="left"/>
    </xf>
    <xf numFmtId="0" fontId="0" fillId="3" borderId="15" xfId="0" applyFill="1" applyBorder="1"/>
    <xf numFmtId="2" fontId="3" fillId="3" borderId="16" xfId="0" applyNumberFormat="1" applyFont="1" applyFill="1" applyBorder="1" applyAlignment="1">
      <alignment vertical="center"/>
    </xf>
    <xf numFmtId="0" fontId="3" fillId="3" borderId="17" xfId="0" applyFont="1" applyFill="1" applyBorder="1" applyAlignment="1">
      <alignment horizontal="left"/>
    </xf>
    <xf numFmtId="0" fontId="3" fillId="3" borderId="17" xfId="0" applyFont="1" applyFill="1" applyBorder="1"/>
    <xf numFmtId="0" fontId="0" fillId="3" borderId="17" xfId="0" applyFill="1" applyBorder="1"/>
    <xf numFmtId="0" fontId="0" fillId="3" borderId="18" xfId="0" applyFill="1" applyBorder="1"/>
    <xf numFmtId="0" fontId="3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center"/>
    </xf>
    <xf numFmtId="0" fontId="4" fillId="3" borderId="0" xfId="0" applyFont="1" applyFill="1" applyBorder="1"/>
    <xf numFmtId="0" fontId="3" fillId="3" borderId="14" xfId="0" applyFont="1" applyFill="1" applyBorder="1" applyAlignment="1">
      <alignment horizontal="right"/>
    </xf>
    <xf numFmtId="2" fontId="3" fillId="3" borderId="0" xfId="0" applyNumberFormat="1" applyFont="1" applyFill="1" applyBorder="1"/>
    <xf numFmtId="0" fontId="3" fillId="3" borderId="15" xfId="0" applyFont="1" applyFill="1" applyBorder="1"/>
    <xf numFmtId="0" fontId="3" fillId="3" borderId="14" xfId="0" applyFont="1" applyFill="1" applyBorder="1"/>
    <xf numFmtId="2" fontId="3" fillId="3" borderId="16" xfId="0" applyNumberFormat="1" applyFont="1" applyFill="1" applyBorder="1"/>
    <xf numFmtId="0" fontId="3" fillId="3" borderId="18" xfId="0" applyFont="1" applyFill="1" applyBorder="1"/>
    <xf numFmtId="0" fontId="3" fillId="3" borderId="11" xfId="0" applyFont="1" applyFill="1" applyBorder="1" applyAlignment="1">
      <alignment horizontal="right"/>
    </xf>
    <xf numFmtId="2" fontId="3" fillId="3" borderId="12" xfId="0" applyNumberFormat="1" applyFont="1" applyFill="1" applyBorder="1"/>
    <xf numFmtId="0" fontId="3" fillId="3" borderId="13" xfId="0" applyFont="1" applyFill="1" applyBorder="1"/>
    <xf numFmtId="0" fontId="0" fillId="3" borderId="0" xfId="0" applyFont="1" applyFill="1" applyBorder="1" applyAlignment="1">
      <alignment horizontal="center"/>
    </xf>
    <xf numFmtId="0" fontId="0" fillId="3" borderId="0" xfId="0" applyFont="1" applyFill="1" applyBorder="1"/>
    <xf numFmtId="164" fontId="0" fillId="3" borderId="0" xfId="0" applyNumberFormat="1" applyFont="1" applyFill="1" applyBorder="1" applyAlignment="1">
      <alignment vertical="center"/>
    </xf>
    <xf numFmtId="0" fontId="0" fillId="3" borderId="0" xfId="0" applyFont="1" applyFill="1" applyBorder="1" applyAlignment="1">
      <alignment vertical="center"/>
    </xf>
    <xf numFmtId="0" fontId="0" fillId="3" borderId="0" xfId="0" applyFont="1" applyFill="1" applyBorder="1" applyAlignment="1">
      <alignment horizontal="left"/>
    </xf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5" borderId="7" xfId="0" applyFill="1" applyBorder="1" applyAlignment="1">
      <alignment horizontal="center"/>
    </xf>
    <xf numFmtId="165" fontId="9" fillId="0" borderId="0" xfId="0" applyNumberFormat="1" applyFont="1" applyAlignment="1" applyProtection="1">
      <alignment horizontal="left"/>
    </xf>
    <xf numFmtId="165" fontId="9" fillId="0" borderId="0" xfId="0" applyNumberFormat="1" applyFont="1" applyAlignment="1" applyProtection="1">
      <alignment horizontal="center"/>
    </xf>
    <xf numFmtId="0" fontId="8" fillId="3" borderId="19" xfId="0" applyFont="1" applyFill="1" applyBorder="1" applyAlignment="1">
      <alignment horizontal="center"/>
    </xf>
    <xf numFmtId="0" fontId="8" fillId="3" borderId="20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0" fillId="4" borderId="4" xfId="0" applyFont="1" applyFill="1" applyBorder="1" applyAlignment="1">
      <alignment horizontal="center" vertical="top"/>
    </xf>
    <xf numFmtId="0" fontId="0" fillId="4" borderId="5" xfId="0" applyFont="1" applyFill="1" applyBorder="1" applyAlignment="1">
      <alignment horizontal="center" vertical="top"/>
    </xf>
    <xf numFmtId="0" fontId="0" fillId="4" borderId="6" xfId="0" applyFont="1" applyFill="1" applyBorder="1" applyAlignment="1">
      <alignment horizontal="center" vertical="top"/>
    </xf>
    <xf numFmtId="0" fontId="5" fillId="2" borderId="8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5" fillId="2" borderId="10" xfId="0" applyFont="1" applyFill="1" applyBorder="1" applyAlignment="1">
      <alignment horizontal="left"/>
    </xf>
    <xf numFmtId="0" fontId="0" fillId="4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/>
    </xf>
    <xf numFmtId="0" fontId="0" fillId="4" borderId="3" xfId="0" applyFont="1" applyFill="1" applyBorder="1" applyAlignment="1">
      <alignment horizontal="center"/>
    </xf>
    <xf numFmtId="166" fontId="0" fillId="0" borderId="0" xfId="0" applyNumberFormat="1" applyAlignment="1" applyProtection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46"/>
  <sheetViews>
    <sheetView showGridLines="0" tabSelected="1" workbookViewId="0">
      <selection activeCell="B3" sqref="B3"/>
    </sheetView>
  </sheetViews>
  <sheetFormatPr defaultRowHeight="15.75" x14ac:dyDescent="0.25"/>
  <cols>
    <col min="1" max="1" width="5.75" customWidth="1"/>
    <col min="5" max="5" width="4.625" customWidth="1"/>
    <col min="6" max="6" width="6.25" customWidth="1"/>
    <col min="9" max="9" width="5.125" customWidth="1"/>
    <col min="10" max="10" width="6.25" customWidth="1"/>
    <col min="13" max="13" width="9" customWidth="1"/>
    <col min="14" max="14" width="5.75" customWidth="1"/>
  </cols>
  <sheetData>
    <row r="1" spans="1:14" ht="36.75" thickBot="1" x14ac:dyDescent="0.6">
      <c r="A1" s="59" t="s">
        <v>20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1"/>
    </row>
    <row r="2" spans="1:14" x14ac:dyDescent="0.25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/>
    </row>
    <row r="3" spans="1:14" x14ac:dyDescent="0.25">
      <c r="A3" s="17"/>
      <c r="B3" s="56" t="s">
        <v>53</v>
      </c>
      <c r="C3" s="18" t="s">
        <v>49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</row>
    <row r="4" spans="1:14" x14ac:dyDescent="0.25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9"/>
    </row>
    <row r="5" spans="1:14" x14ac:dyDescent="0.25">
      <c r="A5" s="17"/>
      <c r="B5" s="18" t="s">
        <v>30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9"/>
    </row>
    <row r="6" spans="1:14" x14ac:dyDescent="0.25">
      <c r="A6" s="17"/>
      <c r="B6" s="56">
        <v>0</v>
      </c>
      <c r="C6" s="18" t="s">
        <v>24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9"/>
    </row>
    <row r="7" spans="1:14" x14ac:dyDescent="0.25">
      <c r="A7" s="17"/>
      <c r="B7" s="56" t="s">
        <v>26</v>
      </c>
      <c r="C7" s="18" t="s">
        <v>21</v>
      </c>
      <c r="D7" s="18" t="s">
        <v>1</v>
      </c>
      <c r="E7" s="18"/>
      <c r="F7" s="18"/>
      <c r="G7" s="18"/>
      <c r="H7" s="18"/>
      <c r="I7" s="18"/>
      <c r="J7" s="18"/>
      <c r="K7" s="18"/>
      <c r="L7" s="18"/>
      <c r="M7" s="18"/>
      <c r="N7" s="19"/>
    </row>
    <row r="8" spans="1:14" x14ac:dyDescent="0.25">
      <c r="A8" s="17"/>
      <c r="B8" s="56">
        <v>-7</v>
      </c>
      <c r="C8" s="18" t="s">
        <v>21</v>
      </c>
      <c r="D8" s="18" t="s">
        <v>28</v>
      </c>
      <c r="E8" s="18"/>
      <c r="F8" s="18"/>
      <c r="G8" s="18"/>
      <c r="H8" s="18"/>
      <c r="I8" s="18"/>
      <c r="J8" s="18"/>
      <c r="K8" s="18"/>
      <c r="L8" s="18"/>
      <c r="M8" s="18"/>
      <c r="N8" s="19"/>
    </row>
    <row r="9" spans="1:14" x14ac:dyDescent="0.25">
      <c r="A9" s="17"/>
      <c r="B9" s="18"/>
      <c r="C9" s="18"/>
      <c r="D9" s="18" t="s">
        <v>29</v>
      </c>
      <c r="E9" s="18"/>
      <c r="F9" s="18"/>
      <c r="G9" s="18"/>
      <c r="H9" s="18"/>
      <c r="I9" s="18"/>
      <c r="J9" s="18"/>
      <c r="K9" s="18"/>
      <c r="L9" s="18"/>
      <c r="M9" s="18"/>
      <c r="N9" s="19"/>
    </row>
    <row r="10" spans="1:14" x14ac:dyDescent="0.25">
      <c r="A10" s="17"/>
      <c r="B10" s="18" t="s">
        <v>31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9"/>
    </row>
    <row r="11" spans="1:14" x14ac:dyDescent="0.25">
      <c r="A11" s="17"/>
      <c r="B11" s="56">
        <v>105</v>
      </c>
      <c r="C11" s="18" t="s">
        <v>21</v>
      </c>
      <c r="D11" s="18" t="s">
        <v>32</v>
      </c>
      <c r="E11" s="18"/>
      <c r="F11" s="18"/>
      <c r="G11" s="18"/>
      <c r="H11" s="18"/>
      <c r="I11" s="18"/>
      <c r="J11" s="18"/>
      <c r="K11" s="18"/>
      <c r="L11" s="18"/>
      <c r="M11" s="18"/>
      <c r="N11" s="19"/>
    </row>
    <row r="12" spans="1:14" x14ac:dyDescent="0.25">
      <c r="A12" s="17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9"/>
    </row>
    <row r="13" spans="1:14" x14ac:dyDescent="0.25">
      <c r="A13" s="17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9"/>
    </row>
    <row r="14" spans="1:14" x14ac:dyDescent="0.25">
      <c r="A14" s="17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9"/>
    </row>
    <row r="15" spans="1:14" x14ac:dyDescent="0.25">
      <c r="A15" s="17"/>
      <c r="B15" s="65" t="str">
        <f>"Low Pressure Element Compression Ratio: "&amp;ROUND(Data!E3,1)</f>
        <v>Low Pressure Element Compression Ratio: 0.6</v>
      </c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7"/>
      <c r="N15" s="19"/>
    </row>
    <row r="16" spans="1:14" x14ac:dyDescent="0.25">
      <c r="A16" s="17"/>
      <c r="B16" s="20">
        <f>VLOOKUP(B6,ALTCHART,2)</f>
        <v>29.92</v>
      </c>
      <c r="C16" s="21" t="s">
        <v>37</v>
      </c>
      <c r="D16" s="22"/>
      <c r="E16" s="22"/>
      <c r="F16" s="23">
        <f>VLOOKUP(B7,LPEIP,2)</f>
        <v>-1</v>
      </c>
      <c r="G16" s="21" t="s">
        <v>39</v>
      </c>
      <c r="H16" s="22"/>
      <c r="I16" s="24"/>
      <c r="J16" s="23">
        <f>B8</f>
        <v>-7</v>
      </c>
      <c r="K16" s="21" t="s">
        <v>41</v>
      </c>
      <c r="L16" s="22"/>
      <c r="M16" s="25"/>
      <c r="N16" s="19"/>
    </row>
    <row r="17" spans="1:14" x14ac:dyDescent="0.25">
      <c r="A17" s="17"/>
      <c r="B17" s="26">
        <v>0.49120000000000003</v>
      </c>
      <c r="C17" s="27" t="s">
        <v>0</v>
      </c>
      <c r="D17" s="18"/>
      <c r="E17" s="27"/>
      <c r="F17" s="28">
        <f>F16+B18</f>
        <v>13.696704000000002</v>
      </c>
      <c r="G17" s="29" t="s">
        <v>40</v>
      </c>
      <c r="H17" s="27"/>
      <c r="I17" s="18"/>
      <c r="J17" s="28">
        <f>J16+B18</f>
        <v>7.6967040000000022</v>
      </c>
      <c r="K17" s="29" t="s">
        <v>42</v>
      </c>
      <c r="L17" s="27"/>
      <c r="M17" s="30"/>
      <c r="N17" s="19"/>
    </row>
    <row r="18" spans="1:14" x14ac:dyDescent="0.25">
      <c r="A18" s="17"/>
      <c r="B18" s="31">
        <f>B16*B17</f>
        <v>14.696704000000002</v>
      </c>
      <c r="C18" s="32" t="s">
        <v>38</v>
      </c>
      <c r="D18" s="33"/>
      <c r="E18" s="33"/>
      <c r="F18" s="34"/>
      <c r="G18" s="34"/>
      <c r="H18" s="34"/>
      <c r="I18" s="34"/>
      <c r="J18" s="34"/>
      <c r="K18" s="34"/>
      <c r="L18" s="34"/>
      <c r="M18" s="35"/>
      <c r="N18" s="19"/>
    </row>
    <row r="19" spans="1:14" x14ac:dyDescent="0.25">
      <c r="A19" s="17"/>
      <c r="B19" s="36"/>
      <c r="C19" s="37"/>
      <c r="D19" s="27"/>
      <c r="E19" s="27"/>
      <c r="F19" s="18"/>
      <c r="G19" s="18"/>
      <c r="H19" s="18"/>
      <c r="I19" s="18"/>
      <c r="J19" s="18"/>
      <c r="K19" s="18"/>
      <c r="L19" s="18"/>
      <c r="M19" s="18"/>
      <c r="N19" s="19"/>
    </row>
    <row r="20" spans="1:14" x14ac:dyDescent="0.25">
      <c r="A20" s="17"/>
      <c r="B20" s="65" t="str">
        <f>"High Pressure Element Compression Ratio: "&amp;ROUND(Data!E5,1)</f>
        <v>High Pressure Element Compression Ratio: 15.6</v>
      </c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7"/>
      <c r="N20" s="19"/>
    </row>
    <row r="21" spans="1:14" x14ac:dyDescent="0.25">
      <c r="A21" s="17"/>
      <c r="B21" s="20">
        <f>B16</f>
        <v>29.92</v>
      </c>
      <c r="C21" s="21" t="s">
        <v>37</v>
      </c>
      <c r="D21" s="22"/>
      <c r="E21" s="22"/>
      <c r="F21" s="23">
        <f>J16</f>
        <v>-7</v>
      </c>
      <c r="G21" s="21" t="s">
        <v>39</v>
      </c>
      <c r="H21" s="22"/>
      <c r="I21" s="24"/>
      <c r="J21" s="23">
        <f>IF(B7="Unloaded",3,B11)</f>
        <v>105</v>
      </c>
      <c r="K21" s="21" t="s">
        <v>41</v>
      </c>
      <c r="L21" s="22"/>
      <c r="M21" s="25"/>
      <c r="N21" s="19"/>
    </row>
    <row r="22" spans="1:14" x14ac:dyDescent="0.25">
      <c r="A22" s="17"/>
      <c r="B22" s="26">
        <v>0.49120000000000003</v>
      </c>
      <c r="C22" s="27" t="s">
        <v>0</v>
      </c>
      <c r="D22" s="18"/>
      <c r="E22" s="27"/>
      <c r="F22" s="28">
        <f>F21+B23</f>
        <v>7.6967040000000022</v>
      </c>
      <c r="G22" s="29" t="s">
        <v>40</v>
      </c>
      <c r="H22" s="27"/>
      <c r="I22" s="18"/>
      <c r="J22" s="28">
        <f>J21+B23</f>
        <v>119.696704</v>
      </c>
      <c r="K22" s="29" t="s">
        <v>42</v>
      </c>
      <c r="L22" s="27"/>
      <c r="M22" s="30"/>
      <c r="N22" s="19"/>
    </row>
    <row r="23" spans="1:14" x14ac:dyDescent="0.25">
      <c r="A23" s="17"/>
      <c r="B23" s="31">
        <f>B21*B22</f>
        <v>14.696704000000002</v>
      </c>
      <c r="C23" s="32" t="s">
        <v>38</v>
      </c>
      <c r="D23" s="33"/>
      <c r="E23" s="33"/>
      <c r="F23" s="34"/>
      <c r="G23" s="34"/>
      <c r="H23" s="34"/>
      <c r="I23" s="34"/>
      <c r="J23" s="34"/>
      <c r="K23" s="34"/>
      <c r="L23" s="34"/>
      <c r="M23" s="35"/>
      <c r="N23" s="19"/>
    </row>
    <row r="24" spans="1:14" x14ac:dyDescent="0.25">
      <c r="A24" s="17"/>
      <c r="B24" s="18"/>
      <c r="C24" s="18"/>
      <c r="D24" s="18"/>
      <c r="E24" s="27"/>
      <c r="F24" s="18"/>
      <c r="G24" s="18"/>
      <c r="H24" s="18"/>
      <c r="I24" s="18"/>
      <c r="J24" s="18"/>
      <c r="K24" s="18"/>
      <c r="L24" s="18"/>
      <c r="M24" s="18"/>
      <c r="N24" s="19"/>
    </row>
    <row r="25" spans="1:14" x14ac:dyDescent="0.25">
      <c r="A25" s="17"/>
      <c r="B25" s="36"/>
      <c r="C25" s="27"/>
      <c r="D25" s="27"/>
      <c r="E25" s="27"/>
      <c r="F25" s="18"/>
      <c r="G25" s="18"/>
      <c r="H25" s="18"/>
      <c r="I25" s="18"/>
      <c r="J25" s="18"/>
      <c r="K25" s="18"/>
      <c r="L25" s="18"/>
      <c r="M25" s="18"/>
      <c r="N25" s="19"/>
    </row>
    <row r="26" spans="1:14" x14ac:dyDescent="0.25">
      <c r="A26" s="17"/>
      <c r="B26" s="18"/>
      <c r="C26" s="38"/>
      <c r="D26" s="27"/>
      <c r="E26" s="27"/>
      <c r="F26" s="18"/>
      <c r="G26" s="18"/>
      <c r="H26" s="18"/>
      <c r="I26" s="18"/>
      <c r="J26" s="18"/>
      <c r="K26" s="18"/>
      <c r="L26" s="18"/>
      <c r="M26" s="18"/>
      <c r="N26" s="19"/>
    </row>
    <row r="27" spans="1:14" x14ac:dyDescent="0.25">
      <c r="A27" s="17"/>
      <c r="B27" s="56">
        <v>73</v>
      </c>
      <c r="C27" s="18" t="s">
        <v>33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9"/>
    </row>
    <row r="28" spans="1:14" x14ac:dyDescent="0.25">
      <c r="A28" s="17"/>
      <c r="B28" s="56">
        <v>85</v>
      </c>
      <c r="C28" s="18" t="s">
        <v>47</v>
      </c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9"/>
    </row>
    <row r="29" spans="1:14" x14ac:dyDescent="0.25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9"/>
    </row>
    <row r="30" spans="1:14" x14ac:dyDescent="0.25">
      <c r="A30" s="17"/>
      <c r="B30" s="65" t="str">
        <f>"Low Pressure Element Discharge Temperature:  "&amp;ROUND((B32*L31)-460,1)</f>
        <v>Low Pressure Element Discharge Temperature:  -21.9</v>
      </c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7"/>
      <c r="N30" s="19"/>
    </row>
    <row r="31" spans="1:14" x14ac:dyDescent="0.25">
      <c r="A31" s="17"/>
      <c r="B31" s="39">
        <f>B27</f>
        <v>73</v>
      </c>
      <c r="C31" s="27" t="s">
        <v>35</v>
      </c>
      <c r="D31" s="27"/>
      <c r="E31" s="27"/>
      <c r="F31" s="27"/>
      <c r="G31" s="40">
        <f>F17</f>
        <v>13.696704000000002</v>
      </c>
      <c r="H31" s="29" t="s">
        <v>40</v>
      </c>
      <c r="I31" s="27"/>
      <c r="J31" s="27"/>
      <c r="K31" s="27"/>
      <c r="L31" s="40">
        <f>POWER(Data!E3,Data!C4)</f>
        <v>0.82204229474386825</v>
      </c>
      <c r="M31" s="41" t="s">
        <v>46</v>
      </c>
      <c r="N31" s="19"/>
    </row>
    <row r="32" spans="1:14" x14ac:dyDescent="0.25">
      <c r="A32" s="17"/>
      <c r="B32" s="42">
        <f>B31+460</f>
        <v>533</v>
      </c>
      <c r="C32" s="27" t="s">
        <v>36</v>
      </c>
      <c r="D32" s="27"/>
      <c r="E32" s="27"/>
      <c r="F32" s="27"/>
      <c r="G32" s="40">
        <f>B33/G31</f>
        <v>0.56193840503525527</v>
      </c>
      <c r="H32" s="27" t="s">
        <v>44</v>
      </c>
      <c r="I32" s="27"/>
      <c r="J32" s="27"/>
      <c r="K32" s="27"/>
      <c r="L32" s="27"/>
      <c r="M32" s="41"/>
      <c r="N32" s="19"/>
    </row>
    <row r="33" spans="1:14" x14ac:dyDescent="0.25">
      <c r="A33" s="17"/>
      <c r="B33" s="43">
        <f>J17</f>
        <v>7.6967040000000022</v>
      </c>
      <c r="C33" s="32" t="s">
        <v>43</v>
      </c>
      <c r="D33" s="33"/>
      <c r="E33" s="33"/>
      <c r="F33" s="33"/>
      <c r="G33" s="33">
        <f>Data!C4</f>
        <v>0.34</v>
      </c>
      <c r="H33" s="33" t="s">
        <v>45</v>
      </c>
      <c r="I33" s="33"/>
      <c r="J33" s="33"/>
      <c r="K33" s="33"/>
      <c r="L33" s="33"/>
      <c r="M33" s="44"/>
      <c r="N33" s="19"/>
    </row>
    <row r="34" spans="1:14" x14ac:dyDescent="0.25">
      <c r="A34" s="17"/>
      <c r="B34" s="40"/>
      <c r="C34" s="29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19"/>
    </row>
    <row r="35" spans="1:14" x14ac:dyDescent="0.25">
      <c r="A35" s="17"/>
      <c r="B35" s="65" t="str">
        <f>"High Pressure Element Discharge Temperature:  "&amp;ROUND((B37*L36)-460,1)</f>
        <v>High Pressure Element Discharge Temperature:  964</v>
      </c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7"/>
      <c r="N35" s="19"/>
    </row>
    <row r="36" spans="1:14" x14ac:dyDescent="0.25">
      <c r="A36" s="17"/>
      <c r="B36" s="45">
        <f>B28</f>
        <v>85</v>
      </c>
      <c r="C36" s="22" t="s">
        <v>35</v>
      </c>
      <c r="D36" s="22"/>
      <c r="E36" s="22"/>
      <c r="F36" s="22"/>
      <c r="G36" s="46">
        <f>F22</f>
        <v>7.6967040000000022</v>
      </c>
      <c r="H36" s="21" t="s">
        <v>48</v>
      </c>
      <c r="I36" s="22"/>
      <c r="J36" s="22"/>
      <c r="K36" s="22"/>
      <c r="L36" s="46">
        <f>POWER(Data!E5,Data!C5)</f>
        <v>2.6128958098896033</v>
      </c>
      <c r="M36" s="47" t="s">
        <v>46</v>
      </c>
      <c r="N36" s="19"/>
    </row>
    <row r="37" spans="1:14" x14ac:dyDescent="0.25">
      <c r="A37" s="17"/>
      <c r="B37" s="42">
        <f>B36+460</f>
        <v>545</v>
      </c>
      <c r="C37" s="27" t="s">
        <v>36</v>
      </c>
      <c r="D37" s="27"/>
      <c r="E37" s="27"/>
      <c r="F37" s="27"/>
      <c r="G37" s="40">
        <f>B38/G36</f>
        <v>15.551683421890717</v>
      </c>
      <c r="H37" s="27" t="s">
        <v>44</v>
      </c>
      <c r="I37" s="27"/>
      <c r="J37" s="27"/>
      <c r="K37" s="27"/>
      <c r="L37" s="27"/>
      <c r="M37" s="41"/>
      <c r="N37" s="19"/>
    </row>
    <row r="38" spans="1:14" x14ac:dyDescent="0.25">
      <c r="A38" s="17"/>
      <c r="B38" s="43">
        <f>J22</f>
        <v>119.696704</v>
      </c>
      <c r="C38" s="32" t="s">
        <v>43</v>
      </c>
      <c r="D38" s="33"/>
      <c r="E38" s="33"/>
      <c r="F38" s="33"/>
      <c r="G38" s="33">
        <f>Data!C5</f>
        <v>0.35</v>
      </c>
      <c r="H38" s="33" t="s">
        <v>45</v>
      </c>
      <c r="I38" s="33"/>
      <c r="J38" s="33"/>
      <c r="K38" s="33"/>
      <c r="L38" s="33"/>
      <c r="M38" s="44"/>
      <c r="N38" s="19"/>
    </row>
    <row r="39" spans="1:14" x14ac:dyDescent="0.25">
      <c r="A39" s="17"/>
      <c r="B39" s="40"/>
      <c r="C39" s="29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19"/>
    </row>
    <row r="40" spans="1:14" ht="16.5" thickBot="1" x14ac:dyDescent="0.3">
      <c r="A40" s="17"/>
      <c r="B40" s="40"/>
      <c r="C40" s="29"/>
      <c r="D40" s="27"/>
      <c r="E40" s="27"/>
      <c r="F40" s="27"/>
      <c r="G40" s="27"/>
      <c r="H40" s="27"/>
      <c r="I40" s="48" t="s">
        <v>2</v>
      </c>
      <c r="J40" s="49" t="s">
        <v>3</v>
      </c>
      <c r="K40" s="27"/>
      <c r="L40" s="27"/>
      <c r="M40" s="27"/>
      <c r="N40" s="19"/>
    </row>
    <row r="41" spans="1:14" x14ac:dyDescent="0.25">
      <c r="A41" s="17"/>
      <c r="B41" s="40"/>
      <c r="C41" s="68" t="s">
        <v>19</v>
      </c>
      <c r="D41" s="69"/>
      <c r="E41" s="69"/>
      <c r="F41" s="69"/>
      <c r="G41" s="70"/>
      <c r="H41" s="27"/>
      <c r="I41" s="48" t="s">
        <v>4</v>
      </c>
      <c r="J41" s="49" t="s">
        <v>15</v>
      </c>
      <c r="K41" s="27"/>
      <c r="L41" s="27"/>
      <c r="M41" s="27"/>
      <c r="N41" s="19"/>
    </row>
    <row r="42" spans="1:14" ht="18.75" thickBot="1" x14ac:dyDescent="0.3">
      <c r="A42" s="17"/>
      <c r="B42" s="40"/>
      <c r="C42" s="62" t="s">
        <v>34</v>
      </c>
      <c r="D42" s="63"/>
      <c r="E42" s="63"/>
      <c r="F42" s="63"/>
      <c r="G42" s="64"/>
      <c r="H42" s="27"/>
      <c r="I42" s="48" t="s">
        <v>5</v>
      </c>
      <c r="J42" s="49" t="s">
        <v>6</v>
      </c>
      <c r="K42" s="27"/>
      <c r="L42" s="27"/>
      <c r="M42" s="27"/>
      <c r="N42" s="19"/>
    </row>
    <row r="43" spans="1:14" x14ac:dyDescent="0.25">
      <c r="A43" s="17"/>
      <c r="B43" s="18"/>
      <c r="C43" s="18"/>
      <c r="D43" s="18"/>
      <c r="E43" s="18"/>
      <c r="F43" s="18"/>
      <c r="G43" s="18"/>
      <c r="H43" s="18"/>
      <c r="I43" s="48" t="s">
        <v>7</v>
      </c>
      <c r="J43" s="49" t="s">
        <v>8</v>
      </c>
      <c r="K43" s="18"/>
      <c r="L43" s="18"/>
      <c r="M43" s="18"/>
      <c r="N43" s="19"/>
    </row>
    <row r="44" spans="1:14" x14ac:dyDescent="0.25">
      <c r="A44" s="17"/>
      <c r="B44" s="49"/>
      <c r="C44" s="50"/>
      <c r="D44" s="49"/>
      <c r="E44" s="49"/>
      <c r="F44" s="49"/>
      <c r="G44" s="49"/>
      <c r="H44" s="18"/>
      <c r="I44" s="48" t="s">
        <v>9</v>
      </c>
      <c r="J44" s="49" t="str">
        <f>Data!C4&amp;" LP Element / "&amp;Data!C5&amp; " HP Element"</f>
        <v>0.34 LP Element / 0.35 HP Element</v>
      </c>
      <c r="K44" s="18"/>
      <c r="L44" s="18"/>
      <c r="M44" s="18"/>
      <c r="N44" s="19"/>
    </row>
    <row r="45" spans="1:14" x14ac:dyDescent="0.25">
      <c r="A45" s="17"/>
      <c r="B45" s="49"/>
      <c r="C45" s="51"/>
      <c r="D45" s="18"/>
      <c r="E45" s="49"/>
      <c r="F45" s="49"/>
      <c r="G45" s="49"/>
      <c r="H45" s="18"/>
      <c r="I45" s="48" t="s">
        <v>16</v>
      </c>
      <c r="J45" s="52">
        <v>460</v>
      </c>
      <c r="K45" s="18"/>
      <c r="L45" s="18"/>
      <c r="M45" s="18"/>
      <c r="N45" s="19"/>
    </row>
    <row r="46" spans="1:14" ht="16.5" thickBot="1" x14ac:dyDescent="0.3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5"/>
    </row>
  </sheetData>
  <mergeCells count="7">
    <mergeCell ref="A1:N1"/>
    <mergeCell ref="C42:G42"/>
    <mergeCell ref="B35:M35"/>
    <mergeCell ref="B30:M30"/>
    <mergeCell ref="B20:M20"/>
    <mergeCell ref="B15:M15"/>
    <mergeCell ref="C41:G41"/>
  </mergeCells>
  <dataValidations count="3">
    <dataValidation type="list" allowBlank="1" showInputMessage="1" showErrorMessage="1" sqref="B6">
      <formula1>ALTITUDE</formula1>
    </dataValidation>
    <dataValidation type="list" allowBlank="1" showInputMessage="1" showErrorMessage="1" sqref="B7">
      <formula1>LOADED</formula1>
    </dataValidation>
    <dataValidation type="list" allowBlank="1" showInputMessage="1" showErrorMessage="1" sqref="B3">
      <formula1>ModelTable</formula1>
    </dataValidation>
  </dataValidations>
  <pageMargins left="0.25" right="0.25" top="0.25" bottom="0.25" header="0" footer="0"/>
  <pageSetup scale="88" orientation="portrait" horizontalDpi="1200" verticalDpi="1200" r:id="rId1"/>
  <ignoredErrors>
    <ignoredError sqref="B16 F16 J16 J21 F21 B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L42"/>
  <sheetViews>
    <sheetView showGridLines="0" topLeftCell="A9" workbookViewId="0">
      <selection activeCell="H17" sqref="H17"/>
    </sheetView>
  </sheetViews>
  <sheetFormatPr defaultRowHeight="15.75" x14ac:dyDescent="0.25"/>
  <cols>
    <col min="2" max="2" width="19.75" bestFit="1" customWidth="1"/>
  </cols>
  <sheetData>
    <row r="2" spans="1:12" ht="18.75" x14ac:dyDescent="0.3">
      <c r="A2" s="2" t="s">
        <v>10</v>
      </c>
      <c r="B2" s="1"/>
      <c r="C2" s="1"/>
      <c r="E2" t="s">
        <v>22</v>
      </c>
    </row>
    <row r="3" spans="1:12" ht="18.75" x14ac:dyDescent="0.3">
      <c r="A3" s="1"/>
      <c r="B3" s="1" t="s">
        <v>11</v>
      </c>
      <c r="C3" s="1" t="s">
        <v>12</v>
      </c>
      <c r="E3" s="3">
        <f>Calculator!J17/Calculator!F17</f>
        <v>0.56193840503525527</v>
      </c>
      <c r="F3" t="str">
        <f>Calculator!L17&amp;" / "&amp;Calculator!H17</f>
        <v xml:space="preserve"> / </v>
      </c>
    </row>
    <row r="4" spans="1:12" ht="18.75" x14ac:dyDescent="0.3">
      <c r="A4" s="1" t="s">
        <v>17</v>
      </c>
      <c r="B4" s="1" t="s">
        <v>14</v>
      </c>
      <c r="C4" s="1">
        <f>K8</f>
        <v>0.34</v>
      </c>
      <c r="E4" t="s">
        <v>23</v>
      </c>
    </row>
    <row r="5" spans="1:12" ht="18.75" x14ac:dyDescent="0.3">
      <c r="A5" s="1" t="s">
        <v>18</v>
      </c>
      <c r="B5" s="1" t="s">
        <v>13</v>
      </c>
      <c r="C5" s="1">
        <f>L8</f>
        <v>0.35</v>
      </c>
      <c r="E5" s="3">
        <f>Calculator!J22/Calculator!F22</f>
        <v>15.551683421890717</v>
      </c>
      <c r="F5" t="str">
        <f>Calculator!L22&amp;" / "&amp;Calculator!H22</f>
        <v xml:space="preserve"> / </v>
      </c>
    </row>
    <row r="8" spans="1:12" x14ac:dyDescent="0.25">
      <c r="E8" t="s">
        <v>25</v>
      </c>
      <c r="K8">
        <f>IFERROR(VLOOKUP(Calculator!B3,StageFactorTable,2,0),"")</f>
        <v>0.34</v>
      </c>
      <c r="L8">
        <f>IFERROR(VLOOKUP(Calculator!B3,StageFactorTable,3,0),"")</f>
        <v>0.35</v>
      </c>
    </row>
    <row r="9" spans="1:12" x14ac:dyDescent="0.25">
      <c r="A9" s="10">
        <v>0</v>
      </c>
      <c r="B9" s="4">
        <v>29.92</v>
      </c>
      <c r="C9" s="5">
        <v>14.7</v>
      </c>
      <c r="E9" s="10" t="s">
        <v>26</v>
      </c>
      <c r="F9" s="5">
        <v>-1</v>
      </c>
      <c r="J9" s="57" t="s">
        <v>49</v>
      </c>
      <c r="K9" s="58" t="s">
        <v>50</v>
      </c>
      <c r="L9" s="58" t="s">
        <v>51</v>
      </c>
    </row>
    <row r="10" spans="1:12" x14ac:dyDescent="0.25">
      <c r="A10" s="11">
        <v>250</v>
      </c>
      <c r="B10" s="6">
        <v>29.65</v>
      </c>
      <c r="C10" s="7">
        <v>14.56</v>
      </c>
      <c r="E10" s="12" t="s">
        <v>27</v>
      </c>
      <c r="F10" s="9">
        <v>-13</v>
      </c>
      <c r="J10" s="72" t="s">
        <v>52</v>
      </c>
      <c r="K10" s="71">
        <v>0.34</v>
      </c>
      <c r="L10" s="71">
        <v>0.35</v>
      </c>
    </row>
    <row r="11" spans="1:12" x14ac:dyDescent="0.25">
      <c r="A11" s="11">
        <v>500</v>
      </c>
      <c r="B11" s="6">
        <v>29.38</v>
      </c>
      <c r="C11" s="7">
        <v>14.43</v>
      </c>
      <c r="J11" s="72" t="s">
        <v>53</v>
      </c>
      <c r="K11" s="71">
        <v>0.34</v>
      </c>
      <c r="L11" s="71">
        <v>0.35</v>
      </c>
    </row>
    <row r="12" spans="1:12" x14ac:dyDescent="0.25">
      <c r="A12" s="11">
        <v>750</v>
      </c>
      <c r="B12" s="6">
        <v>29.12</v>
      </c>
      <c r="C12" s="7">
        <v>14.3</v>
      </c>
      <c r="J12" s="72" t="s">
        <v>54</v>
      </c>
      <c r="K12" s="71">
        <v>0.34</v>
      </c>
      <c r="L12" s="71">
        <v>0.35</v>
      </c>
    </row>
    <row r="13" spans="1:12" x14ac:dyDescent="0.25">
      <c r="A13" s="11">
        <v>1000</v>
      </c>
      <c r="B13" s="6">
        <v>28.86</v>
      </c>
      <c r="C13" s="7">
        <v>14.16</v>
      </c>
      <c r="J13" s="72" t="s">
        <v>55</v>
      </c>
      <c r="K13" s="71">
        <v>0.33</v>
      </c>
      <c r="L13" s="71">
        <v>0.34</v>
      </c>
    </row>
    <row r="14" spans="1:12" x14ac:dyDescent="0.25">
      <c r="A14" s="11">
        <v>1250</v>
      </c>
      <c r="B14" s="6">
        <v>28.6</v>
      </c>
      <c r="C14" s="7">
        <v>14.05</v>
      </c>
      <c r="J14" s="72" t="s">
        <v>56</v>
      </c>
      <c r="K14" s="71">
        <v>0.33</v>
      </c>
      <c r="L14" s="71">
        <v>0.34</v>
      </c>
    </row>
    <row r="15" spans="1:12" x14ac:dyDescent="0.25">
      <c r="A15" s="11">
        <v>1500</v>
      </c>
      <c r="B15" s="6">
        <v>28.33</v>
      </c>
      <c r="C15" s="7">
        <v>13.91</v>
      </c>
      <c r="J15" s="72" t="s">
        <v>57</v>
      </c>
      <c r="K15" s="71">
        <v>0.33</v>
      </c>
      <c r="L15" s="71">
        <v>0.34</v>
      </c>
    </row>
    <row r="16" spans="1:12" x14ac:dyDescent="0.25">
      <c r="A16" s="11">
        <v>1750</v>
      </c>
      <c r="B16" s="13">
        <v>28.08</v>
      </c>
      <c r="C16" s="7">
        <v>13.79</v>
      </c>
      <c r="J16" s="72" t="s">
        <v>58</v>
      </c>
      <c r="K16" s="71">
        <v>0.33</v>
      </c>
      <c r="L16" s="71">
        <v>0.34</v>
      </c>
    </row>
    <row r="17" spans="1:12" x14ac:dyDescent="0.25">
      <c r="A17" s="11">
        <v>2000</v>
      </c>
      <c r="B17" s="13">
        <v>27.82</v>
      </c>
      <c r="C17" s="7">
        <v>13.66</v>
      </c>
      <c r="J17" s="72" t="s">
        <v>59</v>
      </c>
      <c r="K17" s="71">
        <v>0.33</v>
      </c>
      <c r="L17" s="71">
        <v>0.34</v>
      </c>
    </row>
    <row r="18" spans="1:12" x14ac:dyDescent="0.25">
      <c r="A18" s="11">
        <v>2250</v>
      </c>
      <c r="B18" s="13">
        <v>27.57</v>
      </c>
      <c r="C18" s="7">
        <v>13.54</v>
      </c>
      <c r="J18" s="72" t="s">
        <v>60</v>
      </c>
      <c r="K18" s="71">
        <v>0.33</v>
      </c>
      <c r="L18" s="71">
        <v>0.34</v>
      </c>
    </row>
    <row r="19" spans="1:12" x14ac:dyDescent="0.25">
      <c r="A19" s="11">
        <v>2500</v>
      </c>
      <c r="B19" s="13">
        <v>27.32</v>
      </c>
      <c r="C19" s="7">
        <v>13.41</v>
      </c>
      <c r="J19" s="72" t="s">
        <v>61</v>
      </c>
      <c r="K19" s="71">
        <v>0.33</v>
      </c>
      <c r="L19" s="71">
        <v>0.34</v>
      </c>
    </row>
    <row r="20" spans="1:12" x14ac:dyDescent="0.25">
      <c r="A20" s="11">
        <v>2750</v>
      </c>
      <c r="B20" s="13">
        <v>27.07</v>
      </c>
      <c r="C20" s="7">
        <v>13.3</v>
      </c>
      <c r="J20" s="72" t="s">
        <v>62</v>
      </c>
      <c r="K20" s="71">
        <v>0.33</v>
      </c>
      <c r="L20" s="71">
        <v>0.33500000000000002</v>
      </c>
    </row>
    <row r="21" spans="1:12" x14ac:dyDescent="0.25">
      <c r="A21" s="11">
        <v>3000</v>
      </c>
      <c r="B21" s="13">
        <v>26.82</v>
      </c>
      <c r="C21" s="7">
        <v>13.17</v>
      </c>
      <c r="J21" s="72" t="s">
        <v>63</v>
      </c>
      <c r="K21" s="71">
        <v>0.33</v>
      </c>
      <c r="L21" s="71">
        <v>0.34</v>
      </c>
    </row>
    <row r="22" spans="1:12" x14ac:dyDescent="0.25">
      <c r="A22" s="11">
        <v>3250</v>
      </c>
      <c r="B22" s="13">
        <v>26.58</v>
      </c>
      <c r="C22" s="7">
        <v>13.05</v>
      </c>
      <c r="J22" s="72" t="s">
        <v>64</v>
      </c>
      <c r="K22" s="71">
        <v>0.33</v>
      </c>
      <c r="L22" s="71">
        <v>0.33500000000000002</v>
      </c>
    </row>
    <row r="23" spans="1:12" x14ac:dyDescent="0.25">
      <c r="A23" s="11">
        <v>3500</v>
      </c>
      <c r="B23" s="13">
        <v>26.33</v>
      </c>
      <c r="C23" s="7">
        <v>12.93</v>
      </c>
      <c r="J23" s="72" t="s">
        <v>65</v>
      </c>
      <c r="K23" s="71">
        <v>0.33</v>
      </c>
      <c r="L23" s="71">
        <v>0.34</v>
      </c>
    </row>
    <row r="24" spans="1:12" x14ac:dyDescent="0.25">
      <c r="A24" s="11">
        <v>3750</v>
      </c>
      <c r="B24" s="13">
        <v>26.09</v>
      </c>
      <c r="C24" s="7">
        <v>12.81</v>
      </c>
      <c r="J24" s="72" t="s">
        <v>66</v>
      </c>
      <c r="K24" s="71">
        <v>0.33</v>
      </c>
      <c r="L24" s="71">
        <v>0.34</v>
      </c>
    </row>
    <row r="25" spans="1:12" x14ac:dyDescent="0.25">
      <c r="A25" s="11">
        <v>4000</v>
      </c>
      <c r="B25" s="13">
        <v>25.84</v>
      </c>
      <c r="C25" s="7">
        <v>12.69</v>
      </c>
      <c r="J25" s="72" t="s">
        <v>67</v>
      </c>
      <c r="K25" s="71">
        <v>0.33</v>
      </c>
      <c r="L25" s="71">
        <v>0.34</v>
      </c>
    </row>
    <row r="26" spans="1:12" x14ac:dyDescent="0.25">
      <c r="A26" s="11">
        <v>4250</v>
      </c>
      <c r="B26" s="13">
        <v>25.61</v>
      </c>
      <c r="C26" s="7">
        <v>12.58</v>
      </c>
      <c r="J26" s="72" t="s">
        <v>68</v>
      </c>
      <c r="K26" s="71">
        <v>0.33</v>
      </c>
      <c r="L26" s="71">
        <v>0.34</v>
      </c>
    </row>
    <row r="27" spans="1:12" x14ac:dyDescent="0.25">
      <c r="A27" s="11">
        <v>4500</v>
      </c>
      <c r="B27" s="13">
        <v>25.37</v>
      </c>
      <c r="C27" s="7">
        <v>12.46</v>
      </c>
      <c r="J27" s="72" t="s">
        <v>69</v>
      </c>
      <c r="K27" s="71">
        <v>0.33</v>
      </c>
      <c r="L27" s="71">
        <v>0.34</v>
      </c>
    </row>
    <row r="28" spans="1:12" x14ac:dyDescent="0.25">
      <c r="A28" s="11">
        <v>4750</v>
      </c>
      <c r="B28" s="13">
        <v>25.14</v>
      </c>
      <c r="C28" s="7">
        <v>12.35</v>
      </c>
      <c r="J28" s="72" t="s">
        <v>70</v>
      </c>
      <c r="K28" s="71">
        <v>0.33</v>
      </c>
      <c r="L28" s="71">
        <v>0.34</v>
      </c>
    </row>
    <row r="29" spans="1:12" x14ac:dyDescent="0.25">
      <c r="A29" s="11">
        <v>5000</v>
      </c>
      <c r="B29" s="13">
        <v>24.9</v>
      </c>
      <c r="C29" s="7">
        <v>12.23</v>
      </c>
      <c r="J29" s="72" t="s">
        <v>71</v>
      </c>
      <c r="K29" s="71">
        <v>0.33</v>
      </c>
      <c r="L29" s="71">
        <v>0.34</v>
      </c>
    </row>
    <row r="30" spans="1:12" x14ac:dyDescent="0.25">
      <c r="A30" s="11">
        <v>5250</v>
      </c>
      <c r="B30" s="13">
        <v>24.67</v>
      </c>
      <c r="C30" s="7">
        <v>12.12</v>
      </c>
      <c r="J30" s="72" t="s">
        <v>72</v>
      </c>
      <c r="K30" s="71">
        <v>0.33</v>
      </c>
      <c r="L30" s="71">
        <v>0.33500000000000002</v>
      </c>
    </row>
    <row r="31" spans="1:12" x14ac:dyDescent="0.25">
      <c r="A31" s="11">
        <v>5500</v>
      </c>
      <c r="B31" s="13">
        <v>24.44</v>
      </c>
      <c r="C31" s="7">
        <v>12</v>
      </c>
      <c r="J31" s="72" t="s">
        <v>73</v>
      </c>
      <c r="K31" s="71">
        <v>0.33</v>
      </c>
      <c r="L31" s="71">
        <v>0.34</v>
      </c>
    </row>
    <row r="32" spans="1:12" x14ac:dyDescent="0.25">
      <c r="A32" s="11">
        <v>5750</v>
      </c>
      <c r="B32" s="13">
        <v>24.21</v>
      </c>
      <c r="C32" s="7">
        <v>11.89</v>
      </c>
      <c r="J32" s="72" t="s">
        <v>74</v>
      </c>
      <c r="K32" s="71">
        <v>0.33</v>
      </c>
      <c r="L32" s="71">
        <v>0.33500000000000002</v>
      </c>
    </row>
    <row r="33" spans="1:12" x14ac:dyDescent="0.25">
      <c r="A33" s="12">
        <v>6000</v>
      </c>
      <c r="B33" s="8">
        <v>23.99</v>
      </c>
      <c r="C33" s="9">
        <v>11.78</v>
      </c>
      <c r="J33" s="72" t="s">
        <v>75</v>
      </c>
      <c r="K33" s="71">
        <v>0.33</v>
      </c>
      <c r="L33" s="71" t="s">
        <v>76</v>
      </c>
    </row>
    <row r="34" spans="1:12" x14ac:dyDescent="0.25">
      <c r="J34" s="72" t="s">
        <v>77</v>
      </c>
      <c r="K34" s="71">
        <v>0.32500000000000001</v>
      </c>
      <c r="L34" s="71" t="s">
        <v>76</v>
      </c>
    </row>
    <row r="35" spans="1:12" x14ac:dyDescent="0.25">
      <c r="J35" s="72" t="s">
        <v>78</v>
      </c>
      <c r="K35" s="71">
        <v>0.32</v>
      </c>
      <c r="L35" s="71" t="s">
        <v>76</v>
      </c>
    </row>
    <row r="36" spans="1:12" x14ac:dyDescent="0.25">
      <c r="J36" s="72" t="s">
        <v>79</v>
      </c>
      <c r="K36" s="71">
        <v>0.32</v>
      </c>
      <c r="L36" s="71" t="s">
        <v>76</v>
      </c>
    </row>
    <row r="37" spans="1:12" x14ac:dyDescent="0.25">
      <c r="J37" s="72" t="s">
        <v>80</v>
      </c>
      <c r="K37" s="71">
        <v>0.33</v>
      </c>
      <c r="L37" s="71">
        <v>0.33500000000000002</v>
      </c>
    </row>
    <row r="38" spans="1:12" x14ac:dyDescent="0.25">
      <c r="J38" s="72" t="s">
        <v>81</v>
      </c>
      <c r="K38" s="71">
        <v>0.32500000000000001</v>
      </c>
      <c r="L38" s="71">
        <v>0.33</v>
      </c>
    </row>
    <row r="39" spans="1:12" x14ac:dyDescent="0.25">
      <c r="J39" s="72" t="s">
        <v>82</v>
      </c>
      <c r="K39" s="71">
        <v>0.32</v>
      </c>
      <c r="L39" s="71">
        <v>0.33</v>
      </c>
    </row>
    <row r="40" spans="1:12" x14ac:dyDescent="0.25">
      <c r="J40" s="72" t="s">
        <v>83</v>
      </c>
      <c r="K40" s="71">
        <v>0.32</v>
      </c>
      <c r="L40" s="71">
        <v>0.32500000000000001</v>
      </c>
    </row>
    <row r="41" spans="1:12" x14ac:dyDescent="0.25">
      <c r="J41" s="72" t="s">
        <v>84</v>
      </c>
      <c r="K41" s="71">
        <v>0.34499999999999997</v>
      </c>
      <c r="L41" s="71">
        <v>0.35</v>
      </c>
    </row>
    <row r="42" spans="1:12" x14ac:dyDescent="0.25">
      <c r="J42" s="72" t="s">
        <v>85</v>
      </c>
      <c r="K42" s="71">
        <v>0.34</v>
      </c>
      <c r="L42" s="71">
        <v>0.34499999999999997</v>
      </c>
    </row>
  </sheetData>
  <sheetProtection selectLockedCells="1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Calculator</vt:lpstr>
      <vt:lpstr>Data</vt:lpstr>
      <vt:lpstr>ALTCHART</vt:lpstr>
      <vt:lpstr>ALTITUDE</vt:lpstr>
      <vt:lpstr>BAROMETER</vt:lpstr>
      <vt:lpstr>LOADED</vt:lpstr>
      <vt:lpstr>LPEIP</vt:lpstr>
      <vt:lpstr>ModelTable</vt:lpstr>
      <vt:lpstr>StageFactorTable</vt:lpstr>
    </vt:vector>
  </TitlesOfParts>
  <Company>Atlas Copco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 Eggers</dc:creator>
  <cp:lastModifiedBy>USNDDavis</cp:lastModifiedBy>
  <cp:lastPrinted>2013-12-13T19:33:59Z</cp:lastPrinted>
  <dcterms:created xsi:type="dcterms:W3CDTF">2013-12-04T20:18:40Z</dcterms:created>
  <dcterms:modified xsi:type="dcterms:W3CDTF">2016-06-07T13:57:46Z</dcterms:modified>
</cp:coreProperties>
</file>